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Marketing\Application Notes\AppNote Emitters 1 PharmaFluidics\"/>
    </mc:Choice>
  </mc:AlternateContent>
  <xr:revisionPtr revIDLastSave="0" documentId="13_ncr:1_{034D3EBE-7CFA-4372-9951-C5DF75B3A066}" xr6:coauthVersionLast="45" xr6:coauthVersionMax="45" xr10:uidLastSave="{00000000-0000-0000-0000-000000000000}"/>
  <bookViews>
    <workbookView xWindow="-28275" yWindow="240" windowWidth="13530" windowHeight="15375" xr2:uid="{FA00F002-9EAA-491E-892C-CAD6DC5E62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2" i="1" l="1"/>
  <c r="F31" i="1"/>
  <c r="G13" i="1"/>
  <c r="G12" i="1"/>
  <c r="G26" i="1"/>
  <c r="G23" i="1"/>
  <c r="G24" i="1"/>
  <c r="G25" i="1"/>
  <c r="G11" i="1"/>
  <c r="F45" i="1"/>
  <c r="G19" i="1"/>
  <c r="G21" i="1"/>
  <c r="F20" i="1"/>
  <c r="G20" i="1" s="1"/>
  <c r="G7" i="1"/>
  <c r="G8" i="1"/>
  <c r="G9" i="1"/>
  <c r="H45" i="1" s="1"/>
  <c r="G10" i="1"/>
  <c r="G14" i="1"/>
  <c r="G15" i="1"/>
  <c r="G16" i="1"/>
  <c r="G17" i="1"/>
  <c r="G22" i="1"/>
  <c r="G18" i="1"/>
  <c r="G6" i="1"/>
  <c r="G45" i="1" l="1"/>
  <c r="G47" i="1" s="1"/>
  <c r="I45" i="1"/>
  <c r="G41" i="1"/>
  <c r="D41" i="1" s="1"/>
  <c r="G42" i="1"/>
  <c r="D42" i="1" s="1"/>
  <c r="G40" i="1"/>
  <c r="D40" i="1" s="1"/>
  <c r="G31" i="1"/>
  <c r="G32" i="1" s="1"/>
  <c r="G34" i="1" s="1"/>
  <c r="G30" i="1"/>
  <c r="D30" i="1" s="1"/>
  <c r="D33" i="1"/>
  <c r="G49" i="1" l="1"/>
  <c r="D31" i="1"/>
  <c r="D45" i="1"/>
  <c r="D49" i="1"/>
  <c r="G48" i="1"/>
  <c r="D48" i="1" s="1"/>
  <c r="D47" i="1"/>
  <c r="G46" i="1"/>
  <c r="D46" i="1" s="1"/>
  <c r="G36" i="1"/>
  <c r="D32" i="1"/>
  <c r="G38" i="1"/>
  <c r="D38" i="1" s="1"/>
  <c r="D34" i="1" l="1"/>
  <c r="G35" i="1"/>
  <c r="D35" i="1" s="1"/>
  <c r="G37" i="1"/>
  <c r="D37" i="1" s="1"/>
  <c r="D36" i="1"/>
</calcChain>
</file>

<file path=xl/sharedStrings.xml><?xml version="1.0" encoding="utf-8"?>
<sst xmlns="http://schemas.openxmlformats.org/spreadsheetml/2006/main" count="87" uniqueCount="74">
  <si>
    <t>Conductivity</t>
  </si>
  <si>
    <t>Parameter</t>
  </si>
  <si>
    <t>Units</t>
  </si>
  <si>
    <t>Surface tension</t>
  </si>
  <si>
    <t>Density</t>
  </si>
  <si>
    <t>Relative electric permitivity</t>
  </si>
  <si>
    <t>Viscosity</t>
  </si>
  <si>
    <t>Other parameters</t>
  </si>
  <si>
    <t>Vacuum permitivity</t>
  </si>
  <si>
    <t>Tip to counterelectrode distance</t>
  </si>
  <si>
    <t>Liquid</t>
  </si>
  <si>
    <t>Emitter</t>
  </si>
  <si>
    <t>Spray onset voltage</t>
  </si>
  <si>
    <t>Flow rate</t>
  </si>
  <si>
    <t>Spray Settings</t>
  </si>
  <si>
    <t>Voltage</t>
  </si>
  <si>
    <t>inner diameter (ID)</t>
  </si>
  <si>
    <t>Value in SI units</t>
  </si>
  <si>
    <t>anchorage diameter</t>
  </si>
  <si>
    <t>R (gas constant)</t>
  </si>
  <si>
    <t>Vapor diffusivity</t>
  </si>
  <si>
    <t>Spray temperature</t>
  </si>
  <si>
    <t>Vapor pressure @ spray temperature</t>
  </si>
  <si>
    <t xml:space="preserve">Molar mass </t>
  </si>
  <si>
    <t>Flow available for the jet</t>
  </si>
  <si>
    <t>Spray current</t>
  </si>
  <si>
    <t>Emitter pressure drop</t>
  </si>
  <si>
    <t>Length (L)</t>
  </si>
  <si>
    <t>Emitter voltage drop</t>
  </si>
  <si>
    <t>Charge relaxation time</t>
  </si>
  <si>
    <t>Meniscus mechanical oscillation time</t>
  </si>
  <si>
    <t>Emitter resistive-capacitive time</t>
  </si>
  <si>
    <t>Value</t>
  </si>
  <si>
    <t>Spray characteristics</t>
  </si>
  <si>
    <t>Results</t>
  </si>
  <si>
    <t>Characteristic times</t>
  </si>
  <si>
    <t>Theoretical minimum jet</t>
  </si>
  <si>
    <t>Calulations</t>
  </si>
  <si>
    <t>Unit convert</t>
  </si>
  <si>
    <t>Electric field strength at jet</t>
  </si>
  <si>
    <t>Calculations</t>
  </si>
  <si>
    <t>Meniscus evaporation rate</t>
  </si>
  <si>
    <t>Min current</t>
  </si>
  <si>
    <t>Min Cone-jet flow rate</t>
  </si>
  <si>
    <t>[S/cm]</t>
  </si>
  <si>
    <t>[mN/m]</t>
  </si>
  <si>
    <t>[-]</t>
  </si>
  <si>
    <t>[mPa·s]</t>
  </si>
  <si>
    <t>[g/mol]</t>
  </si>
  <si>
    <t>[μm]</t>
  </si>
  <si>
    <t>[cm]</t>
  </si>
  <si>
    <t>[nL/min]</t>
  </si>
  <si>
    <t>[KV]</t>
  </si>
  <si>
    <t>[mm]</t>
  </si>
  <si>
    <t>[Bar]</t>
  </si>
  <si>
    <t>[nA]</t>
  </si>
  <si>
    <t>[kV]</t>
  </si>
  <si>
    <t>[nm]</t>
  </si>
  <si>
    <t>[V/nm]</t>
  </si>
  <si>
    <t>[ns]</t>
  </si>
  <si>
    <t>[μs]</t>
  </si>
  <si>
    <t>[ms]</t>
  </si>
  <si>
    <t>[mBar]</t>
  </si>
  <si>
    <t>[J/(K·mol)]</t>
  </si>
  <si>
    <t>[F/m]</t>
  </si>
  <si>
    <t>[K]</t>
  </si>
  <si>
    <t xml:space="preserve">Min jet /first droplet diameter </t>
  </si>
  <si>
    <t>No. of Coulomb fission to reach 10nm</t>
  </si>
  <si>
    <t>Emitter-surrounding ground distance</t>
  </si>
  <si>
    <t>Input arguments</t>
  </si>
  <si>
    <r>
      <t>[g/cm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]</t>
    </r>
  </si>
  <si>
    <r>
      <t>[cm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/s]</t>
    </r>
  </si>
  <si>
    <t>Jet / first droplet diameter</t>
  </si>
  <si>
    <t>No. of Coulomb fissions to reach 10nm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</si>
</sst>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461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3" borderId="0" xfId="0" applyFill="1"/>
    <xf numFmtId="11" fontId="2" fillId="3" borderId="0" xfId="0" applyNumberFormat="1" applyFont="1" applyFill="1"/>
    <xf numFmtId="2" fontId="0" fillId="3" borderId="0" xfId="0" applyNumberForma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164" fontId="2" fillId="3" borderId="0" xfId="0" applyNumberFormat="1" applyFont="1" applyFill="1" applyBorder="1"/>
    <xf numFmtId="11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0" fillId="3" borderId="0" xfId="0" applyNumberFormat="1" applyFill="1" applyBorder="1"/>
    <xf numFmtId="0" fontId="3" fillId="3" borderId="21" xfId="0" applyFont="1" applyFill="1" applyBorder="1" applyAlignment="1">
      <alignment vertical="center"/>
    </xf>
    <xf numFmtId="0" fontId="1" fillId="2" borderId="0" xfId="1"/>
    <xf numFmtId="2" fontId="6" fillId="2" borderId="6" xfId="1" applyNumberFormat="1" applyFont="1" applyBorder="1" applyAlignment="1">
      <alignment vertical="center"/>
    </xf>
    <xf numFmtId="2" fontId="6" fillId="2" borderId="11" xfId="1" applyNumberFormat="1" applyFont="1" applyBorder="1" applyAlignment="1">
      <alignment vertical="center"/>
    </xf>
    <xf numFmtId="2" fontId="6" fillId="2" borderId="14" xfId="1" applyNumberFormat="1" applyFont="1" applyBorder="1" applyAlignment="1">
      <alignment vertical="center"/>
    </xf>
    <xf numFmtId="2" fontId="6" fillId="2" borderId="9" xfId="1" applyNumberFormat="1" applyFont="1" applyBorder="1" applyAlignment="1">
      <alignment vertical="center"/>
    </xf>
    <xf numFmtId="2" fontId="6" fillId="2" borderId="20" xfId="1" applyNumberFormat="1" applyFont="1" applyBorder="1" applyAlignment="1">
      <alignment vertical="center"/>
    </xf>
    <xf numFmtId="11" fontId="6" fillId="6" borderId="6" xfId="0" applyNumberFormat="1" applyFont="1" applyFill="1" applyBorder="1" applyAlignment="1">
      <alignment vertical="center"/>
    </xf>
    <xf numFmtId="2" fontId="6" fillId="6" borderId="11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2" fontId="7" fillId="6" borderId="20" xfId="0" applyNumberFormat="1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1" fontId="7" fillId="6" borderId="8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left" vertical="center" indent="1"/>
    </xf>
    <xf numFmtId="0" fontId="3" fillId="6" borderId="10" xfId="0" applyFont="1" applyFill="1" applyBorder="1" applyAlignment="1">
      <alignment horizontal="left" vertical="center" indent="1"/>
    </xf>
    <xf numFmtId="0" fontId="3" fillId="6" borderId="12" xfId="0" applyFont="1" applyFill="1" applyBorder="1" applyAlignment="1">
      <alignment horizontal="left" vertical="center" indent="1"/>
    </xf>
    <xf numFmtId="0" fontId="3" fillId="6" borderId="7" xfId="0" applyFont="1" applyFill="1" applyBorder="1" applyAlignment="1">
      <alignment horizontal="left" vertical="center" indent="1"/>
    </xf>
    <xf numFmtId="0" fontId="3" fillId="6" borderId="18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FA8F"/>
      <color rgb="FFFF4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4EFA-5171-4E41-B6A8-D36BC0099183}">
  <dimension ref="A2:P51"/>
  <sheetViews>
    <sheetView tabSelected="1" workbookViewId="0">
      <selection activeCell="G36" sqref="G36"/>
    </sheetView>
  </sheetViews>
  <sheetFormatPr defaultRowHeight="15.75" x14ac:dyDescent="0.25"/>
  <cols>
    <col min="1" max="1" width="9.140625" style="1"/>
    <col min="2" max="2" width="38.28515625" style="12" customWidth="1"/>
    <col min="3" max="3" width="9.85546875" style="12" customWidth="1"/>
    <col min="4" max="4" width="13.28515625" style="13" customWidth="1"/>
    <col min="5" max="5" width="6.42578125" style="3" customWidth="1"/>
    <col min="6" max="6" width="7.85546875" style="4" customWidth="1"/>
    <col min="7" max="7" width="9.28515625" style="5" customWidth="1"/>
    <col min="8" max="12" width="9.140625" style="1"/>
  </cols>
  <sheetData>
    <row r="2" spans="2:16" ht="16.5" thickBot="1" x14ac:dyDescent="0.3"/>
    <row r="3" spans="2:16" ht="15" customHeight="1" x14ac:dyDescent="0.25">
      <c r="B3" s="57" t="s">
        <v>69</v>
      </c>
      <c r="C3" s="58"/>
      <c r="D3" s="59"/>
      <c r="F3" s="49" t="s">
        <v>37</v>
      </c>
      <c r="G3" s="49"/>
    </row>
    <row r="4" spans="2:16" ht="16.5" thickBot="1" x14ac:dyDescent="0.3">
      <c r="B4" s="14" t="s">
        <v>1</v>
      </c>
      <c r="C4" s="30" t="s">
        <v>2</v>
      </c>
      <c r="D4" s="31" t="s">
        <v>32</v>
      </c>
      <c r="F4" s="53" t="s">
        <v>38</v>
      </c>
      <c r="G4" s="53" t="s">
        <v>17</v>
      </c>
    </row>
    <row r="5" spans="2:16" x14ac:dyDescent="0.25">
      <c r="B5" s="50" t="s">
        <v>10</v>
      </c>
      <c r="C5" s="51"/>
      <c r="D5" s="52"/>
      <c r="E5" s="7"/>
      <c r="F5" s="53"/>
      <c r="G5" s="53"/>
    </row>
    <row r="6" spans="2:16" x14ac:dyDescent="0.25">
      <c r="B6" s="41" t="s">
        <v>0</v>
      </c>
      <c r="C6" s="32" t="s">
        <v>44</v>
      </c>
      <c r="D6" s="23">
        <v>5</v>
      </c>
      <c r="F6" s="8">
        <v>0.01</v>
      </c>
      <c r="G6" s="9">
        <f>D6*F6</f>
        <v>0.05</v>
      </c>
    </row>
    <row r="7" spans="2:16" x14ac:dyDescent="0.25">
      <c r="B7" s="41" t="s">
        <v>3</v>
      </c>
      <c r="C7" s="32" t="s">
        <v>45</v>
      </c>
      <c r="D7" s="23">
        <v>30</v>
      </c>
      <c r="F7" s="8">
        <v>1E-3</v>
      </c>
      <c r="G7" s="9">
        <f t="shared" ref="G7:G21" si="0">D7*F7</f>
        <v>0.03</v>
      </c>
    </row>
    <row r="8" spans="2:16" x14ac:dyDescent="0.25">
      <c r="B8" s="42" t="s">
        <v>4</v>
      </c>
      <c r="C8" s="33" t="s">
        <v>70</v>
      </c>
      <c r="D8" s="24">
        <v>1</v>
      </c>
      <c r="F8" s="8">
        <v>1000</v>
      </c>
      <c r="G8" s="9">
        <f t="shared" si="0"/>
        <v>1000</v>
      </c>
    </row>
    <row r="9" spans="2:16" x14ac:dyDescent="0.25">
      <c r="B9" s="43" t="s">
        <v>5</v>
      </c>
      <c r="C9" s="34" t="s">
        <v>46</v>
      </c>
      <c r="D9" s="25">
        <v>40</v>
      </c>
      <c r="F9" s="8">
        <v>1</v>
      </c>
      <c r="G9" s="9">
        <f t="shared" si="0"/>
        <v>40</v>
      </c>
    </row>
    <row r="10" spans="2:16" x14ac:dyDescent="0.25">
      <c r="B10" s="41" t="s">
        <v>6</v>
      </c>
      <c r="C10" s="32" t="s">
        <v>47</v>
      </c>
      <c r="D10" s="23">
        <v>0.6</v>
      </c>
      <c r="F10" s="8">
        <v>1E-3</v>
      </c>
      <c r="G10" s="9">
        <f t="shared" si="0"/>
        <v>5.9999999999999995E-4</v>
      </c>
    </row>
    <row r="11" spans="2:16" x14ac:dyDescent="0.25">
      <c r="B11" s="42" t="s">
        <v>22</v>
      </c>
      <c r="C11" s="33" t="s">
        <v>62</v>
      </c>
      <c r="D11" s="24">
        <v>100</v>
      </c>
      <c r="F11" s="8">
        <v>100</v>
      </c>
      <c r="G11" s="9">
        <f t="shared" si="0"/>
        <v>10000</v>
      </c>
    </row>
    <row r="12" spans="2:16" x14ac:dyDescent="0.25">
      <c r="B12" s="41" t="s">
        <v>23</v>
      </c>
      <c r="C12" s="32" t="s">
        <v>48</v>
      </c>
      <c r="D12" s="23">
        <v>41.05</v>
      </c>
      <c r="F12" s="8">
        <v>1E-3</v>
      </c>
      <c r="G12" s="9">
        <f t="shared" si="0"/>
        <v>4.1049999999999996E-2</v>
      </c>
    </row>
    <row r="13" spans="2:16" ht="16.5" thickBot="1" x14ac:dyDescent="0.3">
      <c r="B13" s="44" t="s">
        <v>20</v>
      </c>
      <c r="C13" s="35" t="s">
        <v>71</v>
      </c>
      <c r="D13" s="26">
        <v>0.1</v>
      </c>
      <c r="F13" s="8">
        <v>1E-4</v>
      </c>
      <c r="G13" s="9">
        <f t="shared" si="0"/>
        <v>1.0000000000000001E-5</v>
      </c>
    </row>
    <row r="14" spans="2:16" x14ac:dyDescent="0.25">
      <c r="B14" s="50" t="s">
        <v>11</v>
      </c>
      <c r="C14" s="51"/>
      <c r="D14" s="52"/>
      <c r="E14" s="7"/>
      <c r="F14" s="8"/>
      <c r="G14" s="9">
        <f t="shared" si="0"/>
        <v>0</v>
      </c>
      <c r="P14" s="22"/>
    </row>
    <row r="15" spans="2:16" x14ac:dyDescent="0.25">
      <c r="B15" s="41" t="s">
        <v>16</v>
      </c>
      <c r="C15" s="36" t="s">
        <v>49</v>
      </c>
      <c r="D15" s="23">
        <v>20</v>
      </c>
      <c r="F15" s="8">
        <v>9.9999999999999995E-7</v>
      </c>
      <c r="G15" s="9">
        <f t="shared" si="0"/>
        <v>1.9999999999999998E-5</v>
      </c>
    </row>
    <row r="16" spans="2:16" x14ac:dyDescent="0.25">
      <c r="B16" s="41" t="s">
        <v>27</v>
      </c>
      <c r="C16" s="36" t="s">
        <v>50</v>
      </c>
      <c r="D16" s="23">
        <v>5</v>
      </c>
      <c r="F16" s="8">
        <v>0.01</v>
      </c>
      <c r="G16" s="9">
        <f t="shared" si="0"/>
        <v>0.05</v>
      </c>
    </row>
    <row r="17" spans="2:7" x14ac:dyDescent="0.25">
      <c r="B17" s="42" t="s">
        <v>18</v>
      </c>
      <c r="C17" s="37" t="s">
        <v>49</v>
      </c>
      <c r="D17" s="24">
        <v>30</v>
      </c>
      <c r="F17" s="8">
        <v>9.9999999999999995E-7</v>
      </c>
      <c r="G17" s="9">
        <f t="shared" si="0"/>
        <v>2.9999999999999997E-5</v>
      </c>
    </row>
    <row r="18" spans="2:7" ht="16.5" thickBot="1" x14ac:dyDescent="0.3">
      <c r="B18" s="45" t="s">
        <v>68</v>
      </c>
      <c r="C18" s="38" t="s">
        <v>50</v>
      </c>
      <c r="D18" s="27">
        <v>4</v>
      </c>
      <c r="F18" s="8">
        <v>0.01</v>
      </c>
      <c r="G18" s="9">
        <f t="shared" si="0"/>
        <v>0.04</v>
      </c>
    </row>
    <row r="19" spans="2:7" x14ac:dyDescent="0.25">
      <c r="B19" s="50" t="s">
        <v>14</v>
      </c>
      <c r="C19" s="51"/>
      <c r="D19" s="52"/>
      <c r="E19" s="7"/>
      <c r="F19" s="8"/>
      <c r="G19" s="9">
        <f t="shared" si="0"/>
        <v>0</v>
      </c>
    </row>
    <row r="20" spans="2:7" x14ac:dyDescent="0.25">
      <c r="B20" s="41" t="s">
        <v>13</v>
      </c>
      <c r="C20" s="36" t="s">
        <v>51</v>
      </c>
      <c r="D20" s="23">
        <v>500</v>
      </c>
      <c r="F20" s="8">
        <f>0.0000000000001/6</f>
        <v>1.6666666666666667E-14</v>
      </c>
      <c r="G20" s="9">
        <f t="shared" si="0"/>
        <v>8.3333333333333336E-12</v>
      </c>
    </row>
    <row r="21" spans="2:7" x14ac:dyDescent="0.25">
      <c r="B21" s="41" t="s">
        <v>15</v>
      </c>
      <c r="C21" s="36" t="s">
        <v>52</v>
      </c>
      <c r="D21" s="23">
        <v>2.1</v>
      </c>
      <c r="F21" s="8">
        <v>1000</v>
      </c>
      <c r="G21" s="9">
        <f t="shared" si="0"/>
        <v>2100</v>
      </c>
    </row>
    <row r="22" spans="2:7" ht="16.5" thickBot="1" x14ac:dyDescent="0.3">
      <c r="B22" s="44" t="s">
        <v>9</v>
      </c>
      <c r="C22" s="39" t="s">
        <v>53</v>
      </c>
      <c r="D22" s="26">
        <v>4</v>
      </c>
      <c r="F22" s="8">
        <v>1E-3</v>
      </c>
      <c r="G22" s="9">
        <f>D22*F22</f>
        <v>4.0000000000000001E-3</v>
      </c>
    </row>
    <row r="23" spans="2:7" x14ac:dyDescent="0.25">
      <c r="B23" s="50" t="s">
        <v>7</v>
      </c>
      <c r="C23" s="51"/>
      <c r="D23" s="52"/>
      <c r="E23" s="7"/>
      <c r="F23" s="8"/>
      <c r="G23" s="9">
        <f t="shared" ref="G23:G26" si="1">D23*F23</f>
        <v>0</v>
      </c>
    </row>
    <row r="24" spans="2:7" x14ac:dyDescent="0.25">
      <c r="B24" s="41" t="s">
        <v>8</v>
      </c>
      <c r="C24" s="32" t="s">
        <v>64</v>
      </c>
      <c r="D24" s="28">
        <v>8.8541878200000004E-12</v>
      </c>
      <c r="F24" s="8">
        <v>1</v>
      </c>
      <c r="G24" s="9">
        <f t="shared" si="1"/>
        <v>8.8541878200000004E-12</v>
      </c>
    </row>
    <row r="25" spans="2:7" x14ac:dyDescent="0.25">
      <c r="B25" s="42" t="s">
        <v>19</v>
      </c>
      <c r="C25" s="33" t="s">
        <v>63</v>
      </c>
      <c r="D25" s="29">
        <v>8.3144600000000004</v>
      </c>
      <c r="F25" s="8">
        <v>1</v>
      </c>
      <c r="G25" s="9">
        <f t="shared" si="1"/>
        <v>8.3144600000000004</v>
      </c>
    </row>
    <row r="26" spans="2:7" ht="16.5" thickBot="1" x14ac:dyDescent="0.3">
      <c r="B26" s="44" t="s">
        <v>21</v>
      </c>
      <c r="C26" s="40" t="s">
        <v>65</v>
      </c>
      <c r="D26" s="26">
        <v>300</v>
      </c>
      <c r="F26" s="8">
        <v>1</v>
      </c>
      <c r="G26" s="9">
        <f t="shared" si="1"/>
        <v>300</v>
      </c>
    </row>
    <row r="27" spans="2:7" ht="16.5" thickBot="1" x14ac:dyDescent="0.3">
      <c r="F27" s="8"/>
      <c r="G27" s="9"/>
    </row>
    <row r="28" spans="2:7" x14ac:dyDescent="0.25">
      <c r="B28" s="54" t="s">
        <v>34</v>
      </c>
      <c r="C28" s="55"/>
      <c r="D28" s="56"/>
      <c r="F28" s="53" t="s">
        <v>38</v>
      </c>
      <c r="G28" s="53" t="s">
        <v>40</v>
      </c>
    </row>
    <row r="29" spans="2:7" x14ac:dyDescent="0.25">
      <c r="B29" s="46" t="s">
        <v>33</v>
      </c>
      <c r="C29" s="47"/>
      <c r="D29" s="48"/>
      <c r="F29" s="53"/>
      <c r="G29" s="53"/>
    </row>
    <row r="30" spans="2:7" x14ac:dyDescent="0.25">
      <c r="B30" s="41" t="s">
        <v>26</v>
      </c>
      <c r="C30" s="32" t="s">
        <v>54</v>
      </c>
      <c r="D30" s="15">
        <f t="shared" ref="D30:D38" si="2">G30/F30</f>
        <v>0.63661990481259212</v>
      </c>
      <c r="F30" s="8">
        <v>100000</v>
      </c>
      <c r="G30" s="9">
        <f>16*8/3.141592*(G10*G16*G20/G15^4)</f>
        <v>63661.990481259207</v>
      </c>
    </row>
    <row r="31" spans="2:7" x14ac:dyDescent="0.25">
      <c r="B31" s="41" t="s">
        <v>41</v>
      </c>
      <c r="C31" s="32" t="s">
        <v>51</v>
      </c>
      <c r="D31" s="15">
        <f t="shared" si="2"/>
        <v>18.612732747526596</v>
      </c>
      <c r="F31" s="8">
        <f>0.0000000000001/6</f>
        <v>1.6666666666666667E-14</v>
      </c>
      <c r="G31" s="9">
        <f>2*3.141592*G13*G17*G11*G12/(G25*G26*G8)</f>
        <v>3.1021221245877664E-13</v>
      </c>
    </row>
    <row r="32" spans="2:7" x14ac:dyDescent="0.25">
      <c r="B32" s="42" t="s">
        <v>24</v>
      </c>
      <c r="C32" s="33" t="s">
        <v>51</v>
      </c>
      <c r="D32" s="16">
        <f t="shared" si="2"/>
        <v>481.38726725247346</v>
      </c>
      <c r="F32" s="8">
        <f>0.0000000000001/6</f>
        <v>1.6666666666666667E-14</v>
      </c>
      <c r="G32" s="9">
        <f>MAX(0,G20-G31)</f>
        <v>8.0231211208745576E-12</v>
      </c>
    </row>
    <row r="33" spans="1:9" x14ac:dyDescent="0.25">
      <c r="B33" s="43" t="s">
        <v>12</v>
      </c>
      <c r="C33" s="34" t="s">
        <v>52</v>
      </c>
      <c r="D33" s="17">
        <f t="shared" si="2"/>
        <v>1.2910973163730919</v>
      </c>
      <c r="F33" s="8">
        <v>1000</v>
      </c>
      <c r="G33" s="9">
        <f>(G7*G17/(2*G24))^0.5*LOG(4*G22*1000/G17)</f>
        <v>1291.0973163730919</v>
      </c>
    </row>
    <row r="34" spans="1:9" x14ac:dyDescent="0.25">
      <c r="B34" s="41" t="s">
        <v>25</v>
      </c>
      <c r="C34" s="32" t="s">
        <v>55</v>
      </c>
      <c r="D34" s="15">
        <f t="shared" si="2"/>
        <v>294.87382920069052</v>
      </c>
      <c r="F34" s="8">
        <v>1.0000000000000001E-9</v>
      </c>
      <c r="G34" s="9">
        <f>(G7*G6*G32/G9)^0.5*MIN(17*G9/40,17)</f>
        <v>2.9487382920069055E-7</v>
      </c>
    </row>
    <row r="35" spans="1:9" x14ac:dyDescent="0.25">
      <c r="B35" s="42" t="s">
        <v>28</v>
      </c>
      <c r="C35" s="33" t="s">
        <v>56</v>
      </c>
      <c r="D35" s="16">
        <f t="shared" si="2"/>
        <v>0.23465333573181937</v>
      </c>
      <c r="F35" s="8">
        <v>1000</v>
      </c>
      <c r="G35" s="9">
        <f>G34*4*G16/(4*3.14159*G6*G15^2)</f>
        <v>234.65333573181937</v>
      </c>
    </row>
    <row r="36" spans="1:9" x14ac:dyDescent="0.25">
      <c r="B36" s="41" t="s">
        <v>72</v>
      </c>
      <c r="C36" s="32" t="s">
        <v>57</v>
      </c>
      <c r="D36" s="15">
        <f t="shared" si="2"/>
        <v>384.46843388077554</v>
      </c>
      <c r="F36" s="8">
        <v>1.0000000000000001E-9</v>
      </c>
      <c r="G36" s="9">
        <f>(G32*G24*G9/G6)^(1/3)</f>
        <v>3.8446843388077554E-7</v>
      </c>
    </row>
    <row r="37" spans="1:9" x14ac:dyDescent="0.25">
      <c r="B37" s="41" t="s">
        <v>73</v>
      </c>
      <c r="C37" s="32" t="s">
        <v>46</v>
      </c>
      <c r="D37" s="15">
        <f t="shared" si="2"/>
        <v>1.5848606885999843</v>
      </c>
      <c r="F37" s="8">
        <v>1</v>
      </c>
      <c r="G37" s="10">
        <f>LOG10(G36/0.00000001)</f>
        <v>1.5848606885999843</v>
      </c>
    </row>
    <row r="38" spans="1:9" x14ac:dyDescent="0.25">
      <c r="B38" s="41" t="s">
        <v>39</v>
      </c>
      <c r="C38" s="32" t="s">
        <v>58</v>
      </c>
      <c r="D38" s="15">
        <f t="shared" si="2"/>
        <v>9.3876290007438037E-2</v>
      </c>
      <c r="F38" s="8">
        <v>1000000000</v>
      </c>
      <c r="G38" s="9">
        <f>(G7/G24)^0.5*(G6/(G32*G24*G9))^(1/6)</f>
        <v>93876290.007438034</v>
      </c>
    </row>
    <row r="39" spans="1:9" x14ac:dyDescent="0.25">
      <c r="B39" s="46" t="s">
        <v>35</v>
      </c>
      <c r="C39" s="47"/>
      <c r="D39" s="48"/>
      <c r="F39" s="8"/>
      <c r="G39" s="9"/>
    </row>
    <row r="40" spans="1:9" x14ac:dyDescent="0.25">
      <c r="B40" s="41" t="s">
        <v>29</v>
      </c>
      <c r="C40" s="32" t="s">
        <v>59</v>
      </c>
      <c r="D40" s="15">
        <f>G40/F40</f>
        <v>7.0833502559999992</v>
      </c>
      <c r="F40" s="8">
        <v>1.0000000000000001E-9</v>
      </c>
      <c r="G40" s="9">
        <f>G9*G24/G6</f>
        <v>7.0833502559999997E-9</v>
      </c>
    </row>
    <row r="41" spans="1:9" x14ac:dyDescent="0.25">
      <c r="B41" s="41" t="s">
        <v>30</v>
      </c>
      <c r="C41" s="32" t="s">
        <v>60</v>
      </c>
      <c r="D41" s="15">
        <f>G41/F41</f>
        <v>23.561924999999999</v>
      </c>
      <c r="F41" s="8">
        <v>9.9999999999999995E-7</v>
      </c>
      <c r="G41" s="9">
        <f>3.14159/4*(G8*G17^3/G7)^0.5</f>
        <v>2.3561924999999997E-5</v>
      </c>
    </row>
    <row r="42" spans="1:9" ht="16.5" thickBot="1" x14ac:dyDescent="0.3">
      <c r="B42" s="44" t="s">
        <v>31</v>
      </c>
      <c r="C42" s="40" t="s">
        <v>61</v>
      </c>
      <c r="D42" s="18">
        <f>G42/F42</f>
        <v>0.55880209053628027</v>
      </c>
      <c r="F42" s="8">
        <v>1E-3</v>
      </c>
      <c r="G42" s="9">
        <f>G24/G7*(G16/G15)^2/LOG(G18/G15)</f>
        <v>5.5880209053628025E-4</v>
      </c>
    </row>
    <row r="43" spans="1:9" s="1" customFormat="1" ht="16.5" thickBot="1" x14ac:dyDescent="0.3">
      <c r="A43" s="6"/>
      <c r="B43" s="21"/>
      <c r="C43" s="21"/>
      <c r="D43" s="19"/>
      <c r="E43" s="20"/>
      <c r="F43" s="8"/>
      <c r="G43" s="9"/>
    </row>
    <row r="44" spans="1:9" x14ac:dyDescent="0.25">
      <c r="B44" s="46" t="s">
        <v>36</v>
      </c>
      <c r="C44" s="47"/>
      <c r="D44" s="48"/>
      <c r="F44" s="8"/>
      <c r="G44" s="10"/>
    </row>
    <row r="45" spans="1:9" x14ac:dyDescent="0.25">
      <c r="B45" s="41" t="s">
        <v>43</v>
      </c>
      <c r="C45" s="32" t="s">
        <v>51</v>
      </c>
      <c r="D45" s="15">
        <f>G45/F45</f>
        <v>0.352745977161947</v>
      </c>
      <c r="F45" s="8">
        <f>0.0000000000001/6</f>
        <v>1.6666666666666667E-14</v>
      </c>
      <c r="G45" s="9">
        <f>G7*G24/(G8*G6)*MAX(0.01*G9, G10*(G6/(G7^2*G8*G24))^(1/3))</f>
        <v>5.8790996193657839E-15</v>
      </c>
      <c r="H45" s="2">
        <f xml:space="preserve"> 0.01*G9</f>
        <v>0.4</v>
      </c>
      <c r="I45" s="2">
        <f>G10*(G6/(G7^2*G8*G24))^(1/3)</f>
        <v>1.1066514021169296</v>
      </c>
    </row>
    <row r="46" spans="1:9" x14ac:dyDescent="0.25">
      <c r="B46" s="41" t="s">
        <v>42</v>
      </c>
      <c r="C46" s="32" t="s">
        <v>55</v>
      </c>
      <c r="D46" s="15">
        <f>G46/F46</f>
        <v>7.9821514721832161</v>
      </c>
      <c r="F46" s="8">
        <v>1.0000000000000001E-9</v>
      </c>
      <c r="G46" s="9">
        <f>(G7*G6*G45/G9)^0.5*MIN(17*G9/40,17)</f>
        <v>7.9821514721832166E-9</v>
      </c>
    </row>
    <row r="47" spans="1:9" x14ac:dyDescent="0.25">
      <c r="B47" s="42" t="s">
        <v>66</v>
      </c>
      <c r="C47" s="33" t="s">
        <v>57</v>
      </c>
      <c r="D47" s="16">
        <f>G47/F47</f>
        <v>34.661698914579127</v>
      </c>
      <c r="F47" s="8">
        <v>1.0000000000000001E-9</v>
      </c>
      <c r="G47" s="9">
        <f xml:space="preserve"> (G45*G24*G9/G6)^(1/3)</f>
        <v>3.4661698914579126E-8</v>
      </c>
    </row>
    <row r="48" spans="1:9" x14ac:dyDescent="0.25">
      <c r="B48" s="41" t="s">
        <v>67</v>
      </c>
      <c r="C48" s="32" t="s">
        <v>46</v>
      </c>
      <c r="D48" s="15">
        <f>G48/F48</f>
        <v>0.53984984548535919</v>
      </c>
      <c r="F48" s="8">
        <v>1</v>
      </c>
      <c r="G48" s="10">
        <f>LOG10(G47/0.00000001)</f>
        <v>0.53984984548535919</v>
      </c>
    </row>
    <row r="49" spans="2:7" ht="16.5" thickBot="1" x14ac:dyDescent="0.3">
      <c r="B49" s="44" t="s">
        <v>39</v>
      </c>
      <c r="C49" s="40" t="s">
        <v>58</v>
      </c>
      <c r="D49" s="18">
        <f>G49/F49</f>
        <v>0.31265209239211739</v>
      </c>
      <c r="F49" s="8">
        <v>1000000000</v>
      </c>
      <c r="G49" s="9">
        <f>(G7/G24)^0.5*(G6/(G45*G24*G9))^(1/6)</f>
        <v>312652092.39211738</v>
      </c>
    </row>
    <row r="50" spans="2:7" x14ac:dyDescent="0.25">
      <c r="F50" s="11"/>
      <c r="G50" s="10"/>
    </row>
    <row r="51" spans="2:7" x14ac:dyDescent="0.25">
      <c r="F51" s="11"/>
      <c r="G51" s="10"/>
    </row>
  </sheetData>
  <mergeCells count="14">
    <mergeCell ref="B44:D44"/>
    <mergeCell ref="B29:D29"/>
    <mergeCell ref="B39:D39"/>
    <mergeCell ref="F3:G3"/>
    <mergeCell ref="B5:D5"/>
    <mergeCell ref="B14:D14"/>
    <mergeCell ref="B19:D19"/>
    <mergeCell ref="B23:D23"/>
    <mergeCell ref="F28:F29"/>
    <mergeCell ref="G28:G29"/>
    <mergeCell ref="F4:F5"/>
    <mergeCell ref="G4:G5"/>
    <mergeCell ref="B28:D28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Vidal de Miguel</dc:creator>
  <cp:lastModifiedBy>Guillermo Vidal de Miguel</cp:lastModifiedBy>
  <dcterms:created xsi:type="dcterms:W3CDTF">2020-11-17T16:35:25Z</dcterms:created>
  <dcterms:modified xsi:type="dcterms:W3CDTF">2020-11-18T13:58:18Z</dcterms:modified>
</cp:coreProperties>
</file>